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<sst xmlns="http://schemas.openxmlformats.org/spreadsheetml/2006/main" count="91" uniqueCount="85">
  <si>
    <t>Nº. Alumnos:</t>
  </si>
  <si>
    <t>PARTIDAS</t>
  </si>
  <si>
    <t>DATO ANUAL</t>
  </si>
  <si>
    <t>INGRESOS</t>
  </si>
  <si>
    <t>INGRESOS PROPIOS</t>
  </si>
  <si>
    <t>INGRESOS POR SUBVENCIÓN</t>
  </si>
  <si>
    <t>OTROS INGRESOS</t>
  </si>
  <si>
    <t>TOTAL INGRESOS</t>
  </si>
  <si>
    <t>PROMEDIO DE INGRESO MENSUAL</t>
  </si>
  <si>
    <t xml:space="preserve">GASTOS DE PERSONAL </t>
  </si>
  <si>
    <t>Sueldos personal directivo docente</t>
  </si>
  <si>
    <t xml:space="preserve">Suplencias                                        </t>
  </si>
  <si>
    <t xml:space="preserve">Ajuste salarial (Incremento de sueldos)           </t>
  </si>
  <si>
    <t xml:space="preserve">Prima por jerarquia                               </t>
  </si>
  <si>
    <t xml:space="preserve">Prima por antiguedad                              </t>
  </si>
  <si>
    <t>Compensacion por hora tecnica</t>
  </si>
  <si>
    <t xml:space="preserve">Prima Post-Grado                                  </t>
  </si>
  <si>
    <t xml:space="preserve">Prima transporte                                  </t>
  </si>
  <si>
    <t xml:space="preserve">Prima ejercicio docente                           </t>
  </si>
  <si>
    <t>Prima por Hijos</t>
  </si>
  <si>
    <t xml:space="preserve">Compensacion por horas extras                     </t>
  </si>
  <si>
    <t xml:space="preserve">Bono nocturno                                     </t>
  </si>
  <si>
    <t xml:space="preserve">Aguinaldos                                        </t>
  </si>
  <si>
    <t xml:space="preserve">Programa alimentario                              </t>
  </si>
  <si>
    <t>Aporte para Guarderia</t>
  </si>
  <si>
    <t xml:space="preserve">Aporte SSO/SPF                                    </t>
  </si>
  <si>
    <t xml:space="preserve">Aporte Fondo LRPVH                                </t>
  </si>
  <si>
    <t>TOTAL GASTOS DE PERSONAL</t>
  </si>
  <si>
    <t>CONCEPTO</t>
  </si>
  <si>
    <t xml:space="preserve">Combustibles y lubricantes                        </t>
  </si>
  <si>
    <t xml:space="preserve">Material de oficina                               </t>
  </si>
  <si>
    <t xml:space="preserve">Material de instruccion                           </t>
  </si>
  <si>
    <t xml:space="preserve">Condecoraciones y ofrendas                        </t>
  </si>
  <si>
    <t xml:space="preserve">Material agropecuario                             </t>
  </si>
  <si>
    <t xml:space="preserve">Repuestos y accesorios para equipos               </t>
  </si>
  <si>
    <t xml:space="preserve">Utiles y materiales de aseo                       </t>
  </si>
  <si>
    <t xml:space="preserve">Alimentos para animales                           </t>
  </si>
  <si>
    <t xml:space="preserve">Articulos de ferreteria                           </t>
  </si>
  <si>
    <t xml:space="preserve">Electricidad                                      </t>
  </si>
  <si>
    <t xml:space="preserve">Gas                                               </t>
  </si>
  <si>
    <t xml:space="preserve">Agua                                              </t>
  </si>
  <si>
    <t xml:space="preserve">Telefono                                          </t>
  </si>
  <si>
    <t xml:space="preserve">Servicios de comunicaciones                       </t>
  </si>
  <si>
    <t xml:space="preserve">Aseo urbano                                       </t>
  </si>
  <si>
    <t xml:space="preserve">Transporte                                        </t>
  </si>
  <si>
    <t xml:space="preserve">Gastos de imprenta y reproduccion                 </t>
  </si>
  <si>
    <t xml:space="preserve">Servicio de relaciones sociales                   </t>
  </si>
  <si>
    <t xml:space="preserve">Primas,seguro y comisiones                        </t>
  </si>
  <si>
    <t xml:space="preserve">Servicios fiscales (Impuestos)                    </t>
  </si>
  <si>
    <t xml:space="preserve">Viaticos y pasajes                                </t>
  </si>
  <si>
    <t xml:space="preserve">Capacitacion y adiestramiento                     </t>
  </si>
  <si>
    <t xml:space="preserve">Procesamiento de datos                            </t>
  </si>
  <si>
    <t xml:space="preserve">Honorarios profesionales                          </t>
  </si>
  <si>
    <t xml:space="preserve">Cuota de afiliacion (Avec)                        </t>
  </si>
  <si>
    <t xml:space="preserve">Otros servicios                                   </t>
  </si>
  <si>
    <t>Gastos de Depreciación</t>
  </si>
  <si>
    <t>TOTAL OTROS GASTOS DE FUNCIONAMIENTO</t>
  </si>
  <si>
    <t xml:space="preserve">TOTAL GASTOS DE FUNCIONAMIENTO </t>
  </si>
  <si>
    <t>PROMEDIO DE GASTOS MENSUAL</t>
  </si>
  <si>
    <t>PROMEDIO POR ALUMNO</t>
  </si>
  <si>
    <t>COSTO MENSUAL POR ALUMNO</t>
  </si>
  <si>
    <t>INGRESO MENSUAL POR ALUMNO</t>
  </si>
  <si>
    <t xml:space="preserve">      C. I.: V- 11.605.601</t>
  </si>
  <si>
    <t xml:space="preserve">Sueldos personal administrativo-obrero                   </t>
  </si>
  <si>
    <t xml:space="preserve">Bono vacacional y ajuste 28 dias                                  </t>
  </si>
  <si>
    <t>U.E.ARQ. NSTRA SRA DE COROMOTO</t>
  </si>
  <si>
    <t>ESTUDIO ECONÓMICO AÑO 2014-2015</t>
  </si>
  <si>
    <t>Nombre del Plantel: U.E. ARQ. NSTRA SRA DE COROMOTO</t>
  </si>
  <si>
    <t xml:space="preserve">Código AVEC:   </t>
  </si>
  <si>
    <t>JULIO - DICIEMBRE 2014</t>
  </si>
  <si>
    <t>ENERO - JUNIO 2015</t>
  </si>
  <si>
    <t>JULIO 2014 /JUNIO 2015</t>
  </si>
  <si>
    <t>OTROS GASTOS DE FUNCIONAMIENTO EJECUTADOS ENTRE JULIO 2014 - JUNIO 2015</t>
  </si>
  <si>
    <t>Administrador: LCDA. BELKIS PIÑA</t>
  </si>
  <si>
    <t>Contador: LCDO. MILTO ZAMBRANO</t>
  </si>
  <si>
    <t xml:space="preserve">      C. I.: V- 12.515.201</t>
  </si>
  <si>
    <t>DEFICIT MENSUAL POR ALUMNO</t>
  </si>
  <si>
    <t>Directora: Msc. Mary Moran</t>
  </si>
  <si>
    <r>
      <t xml:space="preserve">     </t>
    </r>
    <r>
      <rPr>
        <sz val="14"/>
        <rFont val="Arial"/>
        <family val="2"/>
      </rPr>
      <t>DE EDUCACIÓN CATÓLICA</t>
    </r>
  </si>
  <si>
    <t xml:space="preserve">      C. I.: V- 06.831.069</t>
  </si>
  <si>
    <t>Cons.y rep. de maquinarias y equip</t>
  </si>
  <si>
    <t xml:space="preserve">Cons.y rep. menores de inmubles   </t>
  </si>
  <si>
    <t xml:space="preserve">Otras asig.y bonificaciones (Ver Anexo)  </t>
  </si>
  <si>
    <t xml:space="preserve">Aporte mensual de prest. sociales           </t>
  </si>
  <si>
    <t xml:space="preserve">Aporte extraordinario prest.s sociales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</si>
</sst>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??_ ;_ @_ "/>
    <numFmt numFmtId="173" formatCode="mmmm\-yyyy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4" fontId="0" fillId="0" borderId="10" xfId="51" applyNumberFormat="1" applyFont="1" applyBorder="1" applyAlignment="1" applyProtection="1">
      <alignment horizontal="right" vertical="center" indent="1"/>
      <protection locked="0"/>
    </xf>
    <xf numFmtId="4" fontId="0" fillId="0" borderId="11" xfId="51" applyNumberFormat="1" applyFont="1" applyBorder="1" applyAlignment="1" applyProtection="1">
      <alignment horizontal="right" vertical="center" indent="1"/>
      <protection locked="0"/>
    </xf>
    <xf numFmtId="4" fontId="0" fillId="0" borderId="12" xfId="51" applyNumberFormat="1" applyFont="1" applyBorder="1" applyAlignment="1" applyProtection="1">
      <alignment horizontal="right" vertical="center" indent="1"/>
      <protection locked="0"/>
    </xf>
    <xf numFmtId="0" fontId="0" fillId="0" borderId="13" xfId="51" applyFont="1" applyBorder="1" applyAlignment="1">
      <alignment horizontal="left" vertical="center" indent="3"/>
      <protection/>
    </xf>
    <xf numFmtId="0" fontId="0" fillId="0" borderId="11" xfId="51" applyFont="1" applyBorder="1" applyAlignment="1">
      <alignment horizontal="left" vertical="center" indent="3"/>
      <protection/>
    </xf>
    <xf numFmtId="0" fontId="0" fillId="0" borderId="0" xfId="51" applyFont="1" applyBorder="1" applyAlignment="1">
      <alignment vertical="center"/>
      <protection/>
    </xf>
    <xf numFmtId="4" fontId="0" fillId="0" borderId="0" xfId="51" applyNumberFormat="1" applyFont="1" applyBorder="1" applyAlignment="1" applyProtection="1">
      <alignment vertical="center"/>
      <protection locked="0"/>
    </xf>
    <xf numFmtId="4" fontId="0" fillId="0" borderId="0" xfId="51" applyNumberFormat="1" applyFont="1" applyAlignment="1" applyProtection="1">
      <alignment horizontal="left" vertical="center"/>
      <protection locked="0"/>
    </xf>
    <xf numFmtId="0" fontId="0" fillId="0" borderId="0" xfId="51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14" xfId="51" applyFont="1" applyBorder="1" applyAlignment="1" applyProtection="1">
      <alignment horizontal="left" vertical="center"/>
      <protection locked="0"/>
    </xf>
    <xf numFmtId="3" fontId="0" fillId="0" borderId="15" xfId="51" applyNumberFormat="1" applyFont="1" applyBorder="1" applyAlignment="1" applyProtection="1">
      <alignment horizontal="center" vertical="center"/>
      <protection locked="0"/>
    </xf>
    <xf numFmtId="0" fontId="3" fillId="0" borderId="16" xfId="51" applyFont="1" applyBorder="1" applyAlignment="1">
      <alignment horizontal="center" vertical="center"/>
      <protection/>
    </xf>
    <xf numFmtId="0" fontId="0" fillId="0" borderId="17" xfId="51" applyFont="1" applyBorder="1" applyAlignment="1">
      <alignment horizontal="left" vertical="center"/>
      <protection/>
    </xf>
    <xf numFmtId="0" fontId="0" fillId="0" borderId="10" xfId="51" applyFont="1" applyBorder="1" applyAlignment="1">
      <alignment horizontal="left" vertical="center" indent="3"/>
      <protection/>
    </xf>
    <xf numFmtId="0" fontId="0" fillId="0" borderId="18" xfId="51" applyFont="1" applyBorder="1" applyAlignment="1">
      <alignment horizontal="center" vertical="center"/>
      <protection/>
    </xf>
    <xf numFmtId="4" fontId="3" fillId="0" borderId="15" xfId="51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0" fontId="0" fillId="0" borderId="19" xfId="51" applyFont="1" applyBorder="1" applyAlignment="1">
      <alignment horizontal="center" vertical="center"/>
      <protection/>
    </xf>
    <xf numFmtId="4" fontId="5" fillId="0" borderId="20" xfId="51" applyNumberFormat="1" applyFont="1" applyBorder="1" applyAlignment="1" applyProtection="1">
      <alignment vertical="center"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center" vertical="center"/>
      <protection/>
    </xf>
    <xf numFmtId="0" fontId="0" fillId="0" borderId="21" xfId="51" applyFont="1" applyBorder="1" applyAlignment="1">
      <alignment horizontal="center" vertical="center"/>
      <protection/>
    </xf>
    <xf numFmtId="4" fontId="0" fillId="0" borderId="0" xfId="51" applyNumberFormat="1" applyFont="1" applyBorder="1" applyAlignment="1" applyProtection="1">
      <alignment vertical="center"/>
      <protection/>
    </xf>
    <xf numFmtId="4" fontId="7" fillId="0" borderId="20" xfId="0" applyNumberFormat="1" applyFont="1" applyBorder="1" applyAlignment="1">
      <alignment vertical="center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51" applyFont="1" applyBorder="1" applyAlignment="1" applyProtection="1">
      <alignment horizontal="left" vertical="center"/>
      <protection/>
    </xf>
    <xf numFmtId="4" fontId="7" fillId="0" borderId="21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/>
    </xf>
    <xf numFmtId="0" fontId="4" fillId="0" borderId="0" xfId="51" applyFont="1" applyFill="1" applyBorder="1" applyAlignment="1">
      <alignment vertical="center"/>
      <protection/>
    </xf>
    <xf numFmtId="4" fontId="4" fillId="0" borderId="0" xfId="51" applyNumberFormat="1" applyFont="1" applyBorder="1" applyAlignment="1">
      <alignment vertical="center"/>
      <protection/>
    </xf>
    <xf numFmtId="4" fontId="7" fillId="0" borderId="0" xfId="0" applyNumberFormat="1" applyFont="1" applyBorder="1" applyAlignment="1">
      <alignment vertical="center"/>
    </xf>
    <xf numFmtId="0" fontId="4" fillId="0" borderId="17" xfId="51" applyFont="1" applyFill="1" applyBorder="1" applyAlignment="1">
      <alignment vertical="center"/>
      <protection/>
    </xf>
    <xf numFmtId="4" fontId="4" fillId="0" borderId="22" xfId="51" applyNumberFormat="1" applyFont="1" applyBorder="1" applyAlignment="1">
      <alignment vertical="center"/>
      <protection/>
    </xf>
    <xf numFmtId="0" fontId="4" fillId="0" borderId="23" xfId="51" applyFont="1" applyFill="1" applyBorder="1" applyAlignment="1">
      <alignment vertical="center"/>
      <protection/>
    </xf>
    <xf numFmtId="4" fontId="4" fillId="0" borderId="24" xfId="51" applyNumberFormat="1" applyFont="1" applyBorder="1" applyAlignment="1">
      <alignment horizontal="right" vertical="center"/>
      <protection/>
    </xf>
    <xf numFmtId="0" fontId="4" fillId="0" borderId="19" xfId="51" applyFont="1" applyBorder="1" applyAlignment="1">
      <alignment vertical="center"/>
      <protection/>
    </xf>
    <xf numFmtId="40" fontId="4" fillId="0" borderId="25" xfId="51" applyNumberFormat="1" applyFont="1" applyFill="1" applyBorder="1" applyAlignment="1">
      <alignment horizontal="right" vertical="center"/>
      <protection/>
    </xf>
    <xf numFmtId="0" fontId="4" fillId="0" borderId="0" xfId="51" applyFont="1" applyAlignment="1">
      <alignment vertical="center"/>
      <protection/>
    </xf>
    <xf numFmtId="49" fontId="0" fillId="0" borderId="0" xfId="51" applyNumberFormat="1" applyFont="1" applyAlignment="1" applyProtection="1">
      <alignment vertical="center"/>
      <protection locked="0"/>
    </xf>
    <xf numFmtId="4" fontId="0" fillId="0" borderId="0" xfId="51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3" fontId="1" fillId="0" borderId="16" xfId="51" applyNumberFormat="1" applyFont="1" applyFill="1" applyBorder="1" applyAlignment="1" applyProtection="1">
      <alignment horizontal="center" vertical="center"/>
      <protection locked="0"/>
    </xf>
    <xf numFmtId="173" fontId="1" fillId="0" borderId="21" xfId="51" applyNumberFormat="1" applyFont="1" applyFill="1" applyBorder="1" applyAlignment="1" applyProtection="1">
      <alignment horizontal="center" vertical="center"/>
      <protection locked="0"/>
    </xf>
    <xf numFmtId="4" fontId="1" fillId="0" borderId="16" xfId="51" applyNumberFormat="1" applyFont="1" applyBorder="1" applyAlignment="1" applyProtection="1">
      <alignment horizontal="center" vertical="center"/>
      <protection locked="0"/>
    </xf>
    <xf numFmtId="4" fontId="1" fillId="0" borderId="0" xfId="51" applyNumberFormat="1" applyFont="1" applyBorder="1" applyAlignment="1" applyProtection="1">
      <alignment vertical="center"/>
      <protection/>
    </xf>
    <xf numFmtId="4" fontId="1" fillId="0" borderId="0" xfId="51" applyNumberFormat="1" applyFont="1" applyBorder="1" applyAlignment="1">
      <alignment vertical="center"/>
      <protection/>
    </xf>
    <xf numFmtId="0" fontId="2" fillId="0" borderId="0" xfId="51" applyFont="1" applyAlignment="1">
      <alignment horizontal="center"/>
      <protection/>
    </xf>
    <xf numFmtId="0" fontId="0" fillId="0" borderId="0" xfId="51" applyFont="1" applyAlignment="1">
      <alignment horizontal="center"/>
      <protection/>
    </xf>
    <xf numFmtId="0" fontId="0" fillId="0" borderId="14" xfId="51" applyFont="1" applyBorder="1" applyAlignment="1" applyProtection="1">
      <alignment horizontal="left" vertical="center"/>
      <protection locked="0"/>
    </xf>
    <xf numFmtId="0" fontId="0" fillId="0" borderId="26" xfId="51" applyFont="1" applyBorder="1" applyAlignment="1" applyProtection="1">
      <alignment horizontal="left" vertical="center"/>
      <protection locked="0"/>
    </xf>
    <xf numFmtId="0" fontId="0" fillId="0" borderId="15" xfId="51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0" fillId="0" borderId="14" xfId="51" applyNumberFormat="1" applyFont="1" applyBorder="1" applyAlignment="1">
      <alignment horizontal="right" vertical="center"/>
      <protection/>
    </xf>
    <xf numFmtId="4" fontId="0" fillId="0" borderId="26" xfId="51" applyNumberFormat="1" applyFont="1" applyBorder="1" applyAlignment="1">
      <alignment horizontal="right" vertical="center"/>
      <protection/>
    </xf>
    <xf numFmtId="4" fontId="3" fillId="0" borderId="27" xfId="51" applyNumberFormat="1" applyFont="1" applyFill="1" applyBorder="1" applyAlignment="1">
      <alignment horizontal="center" vertical="center"/>
      <protection/>
    </xf>
    <xf numFmtId="4" fontId="3" fillId="0" borderId="28" xfId="51" applyNumberFormat="1" applyFont="1" applyFill="1" applyBorder="1" applyAlignment="1">
      <alignment horizontal="center" vertical="center"/>
      <protection/>
    </xf>
    <xf numFmtId="4" fontId="4" fillId="0" borderId="29" xfId="51" applyNumberFormat="1" applyFont="1" applyFill="1" applyBorder="1" applyAlignment="1">
      <alignment horizontal="center" vertical="center"/>
      <protection/>
    </xf>
    <xf numFmtId="4" fontId="4" fillId="0" borderId="17" xfId="51" applyNumberFormat="1" applyFont="1" applyFill="1" applyBorder="1" applyAlignment="1" applyProtection="1">
      <alignment horizontal="center" vertical="center"/>
      <protection locked="0"/>
    </xf>
    <xf numFmtId="4" fontId="4" fillId="0" borderId="22" xfId="51" applyNumberFormat="1" applyFont="1" applyFill="1" applyBorder="1" applyAlignment="1" applyProtection="1">
      <alignment horizontal="center" vertical="center"/>
      <protection locked="0"/>
    </xf>
    <xf numFmtId="4" fontId="4" fillId="0" borderId="19" xfId="51" applyNumberFormat="1" applyFont="1" applyFill="1" applyBorder="1" applyAlignment="1" applyProtection="1">
      <alignment horizontal="center" vertical="center"/>
      <protection locked="0"/>
    </xf>
    <xf numFmtId="4" fontId="4" fillId="0" borderId="25" xfId="51" applyNumberFormat="1" applyFont="1" applyFill="1" applyBorder="1" applyAlignment="1" applyProtection="1">
      <alignment horizontal="center" vertical="center"/>
      <protection locked="0"/>
    </xf>
    <xf numFmtId="4" fontId="4" fillId="0" borderId="14" xfId="51" applyNumberFormat="1" applyFont="1" applyFill="1" applyBorder="1" applyAlignment="1" applyProtection="1">
      <alignment horizontal="center" vertical="center"/>
      <protection locked="0"/>
    </xf>
    <xf numFmtId="4" fontId="4" fillId="0" borderId="15" xfId="51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6">
      <selection activeCell="B81" sqref="B81"/>
    </sheetView>
  </sheetViews>
  <sheetFormatPr defaultColWidth="11.421875" defaultRowHeight="12.75"/>
  <cols>
    <col min="1" max="1" width="38.57421875" style="10" customWidth="1"/>
    <col min="2" max="2" width="16.421875" style="10" customWidth="1"/>
    <col min="3" max="3" width="18.28125" style="10" customWidth="1"/>
    <col min="4" max="4" width="17.140625" style="10" customWidth="1"/>
    <col min="5" max="5" width="23.28125" style="10" customWidth="1"/>
    <col min="6" max="16384" width="11.421875" style="10" customWidth="1"/>
  </cols>
  <sheetData>
    <row r="1" spans="1:4" ht="17.25" customHeight="1">
      <c r="A1" s="49" t="s">
        <v>65</v>
      </c>
      <c r="B1" s="49"/>
      <c r="C1" s="49"/>
      <c r="D1" s="49"/>
    </row>
    <row r="2" spans="1:4" ht="18" hidden="1">
      <c r="A2" s="50" t="s">
        <v>78</v>
      </c>
      <c r="B2" s="50"/>
      <c r="C2" s="50"/>
      <c r="D2" s="50"/>
    </row>
    <row r="3" spans="1:4" ht="18.75" customHeight="1" thickBot="1">
      <c r="A3" s="49" t="s">
        <v>66</v>
      </c>
      <c r="B3" s="49"/>
      <c r="C3" s="49"/>
      <c r="D3" s="49"/>
    </row>
    <row r="4" spans="1:4" ht="15.75" customHeight="1" thickBot="1">
      <c r="A4" s="51" t="s">
        <v>67</v>
      </c>
      <c r="B4" s="52"/>
      <c r="C4" s="52"/>
      <c r="D4" s="53"/>
    </row>
    <row r="5" spans="1:4" ht="13.5" thickBot="1">
      <c r="A5" s="11" t="s">
        <v>68</v>
      </c>
      <c r="B5" s="57" t="s">
        <v>0</v>
      </c>
      <c r="C5" s="58"/>
      <c r="D5" s="12">
        <v>773</v>
      </c>
    </row>
    <row r="6" spans="1:4" ht="15.75" thickBot="1">
      <c r="A6" s="13" t="s">
        <v>1</v>
      </c>
      <c r="B6" s="59" t="s">
        <v>2</v>
      </c>
      <c r="C6" s="60"/>
      <c r="D6" s="61"/>
    </row>
    <row r="7" spans="1:4" ht="13.5" thickBot="1">
      <c r="A7" s="14" t="s">
        <v>3</v>
      </c>
      <c r="B7" s="44" t="s">
        <v>69</v>
      </c>
      <c r="C7" s="44" t="s">
        <v>70</v>
      </c>
      <c r="D7" s="46" t="s">
        <v>71</v>
      </c>
    </row>
    <row r="8" spans="1:4" ht="12.75">
      <c r="A8" s="15" t="s">
        <v>4</v>
      </c>
      <c r="B8" s="1">
        <f>85210+266835.86</f>
        <v>352045.86</v>
      </c>
      <c r="C8" s="1">
        <f>243789.29/4*6</f>
        <v>365683.935</v>
      </c>
      <c r="D8" s="1">
        <f>+B8+C8</f>
        <v>717729.7949999999</v>
      </c>
    </row>
    <row r="9" spans="1:4" ht="12.75">
      <c r="A9" s="5" t="s">
        <v>5</v>
      </c>
      <c r="B9" s="2">
        <v>1618734</v>
      </c>
      <c r="C9" s="2">
        <f>1401541/4*6</f>
        <v>2102311.5</v>
      </c>
      <c r="D9" s="2">
        <f>+B9+C9</f>
        <v>3721045.5</v>
      </c>
    </row>
    <row r="10" spans="1:4" ht="13.5" thickBot="1">
      <c r="A10" s="5" t="s">
        <v>6</v>
      </c>
      <c r="B10" s="3">
        <f>6400+7377.03+1618734+9055.28</f>
        <v>1641566.31</v>
      </c>
      <c r="C10" s="3">
        <f>5500+7915+15103.85+1103600/4*6</f>
        <v>1683918.85</v>
      </c>
      <c r="D10" s="2">
        <f>+B10+C10</f>
        <v>3325485.16</v>
      </c>
    </row>
    <row r="11" spans="1:6" ht="19.5" customHeight="1" thickBot="1">
      <c r="A11" s="16" t="s">
        <v>7</v>
      </c>
      <c r="B11" s="62"/>
      <c r="C11" s="63"/>
      <c r="D11" s="17">
        <f>SUM(D8:D10)</f>
        <v>7764260.455</v>
      </c>
      <c r="F11" s="18"/>
    </row>
    <row r="12" spans="1:4" ht="19.5" customHeight="1" thickBot="1">
      <c r="A12" s="19" t="s">
        <v>8</v>
      </c>
      <c r="B12" s="64"/>
      <c r="C12" s="65"/>
      <c r="D12" s="20">
        <f>+D11/12</f>
        <v>647021.7045833333</v>
      </c>
    </row>
    <row r="13" spans="1:4" ht="13.5" thickBot="1">
      <c r="A13" s="21" t="s">
        <v>9</v>
      </c>
      <c r="B13" s="45" t="s">
        <v>69</v>
      </c>
      <c r="C13" s="45" t="s">
        <v>70</v>
      </c>
      <c r="D13" s="46" t="s">
        <v>71</v>
      </c>
    </row>
    <row r="14" spans="1:5" ht="12.75">
      <c r="A14" s="4" t="s">
        <v>10</v>
      </c>
      <c r="B14" s="2">
        <v>947046.5</v>
      </c>
      <c r="C14" s="2">
        <f>711003.19/4*6</f>
        <v>1066504.785</v>
      </c>
      <c r="D14" s="2">
        <f>+B14+C14</f>
        <v>2013551.285</v>
      </c>
      <c r="E14" s="18"/>
    </row>
    <row r="15" spans="1:4" ht="12.75">
      <c r="A15" s="5" t="s">
        <v>63</v>
      </c>
      <c r="B15" s="2">
        <v>592595.28</v>
      </c>
      <c r="C15" s="2">
        <f>506248.34/4*6</f>
        <v>759372.51</v>
      </c>
      <c r="D15" s="2">
        <f aca="true" t="shared" si="0" ref="D15:D35">+B15+C15</f>
        <v>1351967.79</v>
      </c>
    </row>
    <row r="16" spans="1:4" ht="12.75">
      <c r="A16" s="5" t="s">
        <v>11</v>
      </c>
      <c r="B16" s="2">
        <v>9105.67</v>
      </c>
      <c r="C16" s="2">
        <f>27633.24/4*6</f>
        <v>41449.86</v>
      </c>
      <c r="D16" s="2">
        <f t="shared" si="0"/>
        <v>50555.53</v>
      </c>
    </row>
    <row r="17" spans="1:4" ht="12.75">
      <c r="A17" s="5" t="s">
        <v>12</v>
      </c>
      <c r="B17" s="2">
        <v>111561.07</v>
      </c>
      <c r="C17" s="2">
        <f>76904.28/4*6</f>
        <v>115356.42</v>
      </c>
      <c r="D17" s="2">
        <f t="shared" si="0"/>
        <v>226917.49</v>
      </c>
    </row>
    <row r="18" spans="1:4" ht="12.75">
      <c r="A18" s="5" t="s">
        <v>13</v>
      </c>
      <c r="B18" s="2">
        <v>5122.5</v>
      </c>
      <c r="C18" s="2">
        <f>1150.5*6</f>
        <v>6903</v>
      </c>
      <c r="D18" s="2">
        <f t="shared" si="0"/>
        <v>12025.5</v>
      </c>
    </row>
    <row r="19" spans="1:4" ht="12.75">
      <c r="A19" s="5" t="s">
        <v>14</v>
      </c>
      <c r="B19" s="2">
        <v>43560</v>
      </c>
      <c r="C19" s="2">
        <f>45920/4*6</f>
        <v>68880</v>
      </c>
      <c r="D19" s="2">
        <f t="shared" si="0"/>
        <v>112440</v>
      </c>
    </row>
    <row r="20" spans="1:4" ht="12.75" hidden="1">
      <c r="A20" s="5" t="s">
        <v>15</v>
      </c>
      <c r="B20" s="2">
        <v>0</v>
      </c>
      <c r="C20" s="2">
        <v>0</v>
      </c>
      <c r="D20" s="2">
        <f t="shared" si="0"/>
        <v>0</v>
      </c>
    </row>
    <row r="21" spans="1:4" ht="12.75">
      <c r="A21" s="5" t="s">
        <v>16</v>
      </c>
      <c r="B21" s="2">
        <v>51205.74</v>
      </c>
      <c r="C21" s="2">
        <f>65000.02/4*6</f>
        <v>97500.03</v>
      </c>
      <c r="D21" s="2">
        <f t="shared" si="0"/>
        <v>148705.77</v>
      </c>
    </row>
    <row r="22" spans="1:4" ht="12.75">
      <c r="A22" s="5" t="s">
        <v>17</v>
      </c>
      <c r="B22" s="2">
        <v>62750</v>
      </c>
      <c r="C22" s="2">
        <f>64000/4*6</f>
        <v>96000</v>
      </c>
      <c r="D22" s="2">
        <f t="shared" si="0"/>
        <v>158750</v>
      </c>
    </row>
    <row r="23" spans="1:4" ht="12.75">
      <c r="A23" s="5" t="s">
        <v>18</v>
      </c>
      <c r="B23" s="2">
        <v>62750</v>
      </c>
      <c r="C23" s="2">
        <f>64000/4*6</f>
        <v>96000</v>
      </c>
      <c r="D23" s="2">
        <f t="shared" si="0"/>
        <v>158750</v>
      </c>
    </row>
    <row r="24" spans="1:4" ht="12.75" hidden="1">
      <c r="A24" s="5" t="s">
        <v>19</v>
      </c>
      <c r="B24" s="2">
        <v>0</v>
      </c>
      <c r="C24" s="2">
        <v>0</v>
      </c>
      <c r="D24" s="2">
        <f t="shared" si="0"/>
        <v>0</v>
      </c>
    </row>
    <row r="25" spans="1:4" ht="12.75">
      <c r="A25" s="5" t="s">
        <v>20</v>
      </c>
      <c r="B25" s="2">
        <v>890.38</v>
      </c>
      <c r="C25" s="2">
        <f>142.21/4*6</f>
        <v>213.315</v>
      </c>
      <c r="D25" s="2">
        <f t="shared" si="0"/>
        <v>1103.695</v>
      </c>
    </row>
    <row r="26" spans="1:4" ht="12.75">
      <c r="A26" s="5" t="s">
        <v>21</v>
      </c>
      <c r="B26" s="2">
        <v>32235.57</v>
      </c>
      <c r="C26" s="2">
        <f>31862.03/4*6</f>
        <v>47793.045</v>
      </c>
      <c r="D26" s="2">
        <f t="shared" si="0"/>
        <v>80028.61499999999</v>
      </c>
    </row>
    <row r="27" spans="1:4" ht="12.75">
      <c r="A27" s="5" t="s">
        <v>64</v>
      </c>
      <c r="B27" s="2">
        <f>409927.25+146832.66</f>
        <v>556759.91</v>
      </c>
      <c r="C27" s="2">
        <f>16501.73/4*6</f>
        <v>24752.595</v>
      </c>
      <c r="D27" s="2">
        <f t="shared" si="0"/>
        <v>581512.505</v>
      </c>
    </row>
    <row r="28" spans="1:4" ht="12.75">
      <c r="A28" s="5" t="s">
        <v>22</v>
      </c>
      <c r="B28" s="2">
        <v>1110973.07</v>
      </c>
      <c r="C28" s="2">
        <f>3316.36/4*6</f>
        <v>4974.54</v>
      </c>
      <c r="D28" s="2">
        <f t="shared" si="0"/>
        <v>1115947.61</v>
      </c>
    </row>
    <row r="29" spans="1:4" ht="12.75">
      <c r="A29" s="5" t="s">
        <v>23</v>
      </c>
      <c r="B29" s="2">
        <v>317065.89</v>
      </c>
      <c r="C29" s="2">
        <f>382244.71/4*6</f>
        <v>573367.0650000001</v>
      </c>
      <c r="D29" s="2">
        <f t="shared" si="0"/>
        <v>890432.9550000001</v>
      </c>
    </row>
    <row r="30" spans="1:4" ht="12.75">
      <c r="A30" s="5" t="s">
        <v>24</v>
      </c>
      <c r="B30" s="2">
        <v>45912.9</v>
      </c>
      <c r="C30" s="2">
        <f>43019.99/4*6</f>
        <v>64529.985</v>
      </c>
      <c r="D30" s="2">
        <f t="shared" si="0"/>
        <v>110442.88500000001</v>
      </c>
    </row>
    <row r="31" spans="1:4" ht="12.75">
      <c r="A31" s="5" t="s">
        <v>82</v>
      </c>
      <c r="B31" s="2">
        <f>1141.07+108000</f>
        <v>109141.07</v>
      </c>
      <c r="C31" s="2">
        <f>108000/4*6</f>
        <v>162000</v>
      </c>
      <c r="D31" s="2">
        <f t="shared" si="0"/>
        <v>271141.07</v>
      </c>
    </row>
    <row r="32" spans="1:4" ht="12.75">
      <c r="A32" s="5" t="s">
        <v>25</v>
      </c>
      <c r="B32" s="2">
        <v>184367.91</v>
      </c>
      <c r="C32" s="2">
        <f>149771.15/4*6</f>
        <v>224656.72499999998</v>
      </c>
      <c r="D32" s="2">
        <f t="shared" si="0"/>
        <v>409024.635</v>
      </c>
    </row>
    <row r="33" spans="1:4" ht="12.75">
      <c r="A33" s="5" t="s">
        <v>26</v>
      </c>
      <c r="B33" s="2">
        <v>63078.91</v>
      </c>
      <c r="C33" s="2">
        <f>28177.19/4*6</f>
        <v>42265.784999999996</v>
      </c>
      <c r="D33" s="2">
        <f t="shared" si="0"/>
        <v>105344.695</v>
      </c>
    </row>
    <row r="34" spans="1:4" ht="12.75">
      <c r="A34" s="5" t="s">
        <v>83</v>
      </c>
      <c r="B34" s="2">
        <v>488071.11</v>
      </c>
      <c r="C34" s="2">
        <f>368163.76/4*6</f>
        <v>552245.64</v>
      </c>
      <c r="D34" s="2">
        <f t="shared" si="0"/>
        <v>1040316.75</v>
      </c>
    </row>
    <row r="35" spans="1:4" ht="13.5" thickBot="1">
      <c r="A35" s="5" t="s">
        <v>84</v>
      </c>
      <c r="B35" s="3">
        <v>7832.7</v>
      </c>
      <c r="C35" s="3">
        <f>28957.28/4*6</f>
        <v>43435.92</v>
      </c>
      <c r="D35" s="2">
        <f t="shared" si="0"/>
        <v>51268.619999999995</v>
      </c>
    </row>
    <row r="36" spans="1:5" ht="23.25" customHeight="1" thickBot="1">
      <c r="A36" s="22" t="s">
        <v>27</v>
      </c>
      <c r="B36" s="66"/>
      <c r="C36" s="67"/>
      <c r="D36" s="17">
        <f>SUM(D14:D35)</f>
        <v>8890227.4</v>
      </c>
      <c r="E36" s="18"/>
    </row>
    <row r="37" spans="1:4" ht="21.75" customHeight="1" thickBot="1">
      <c r="A37" s="54" t="s">
        <v>72</v>
      </c>
      <c r="B37" s="55"/>
      <c r="C37" s="55"/>
      <c r="D37" s="56"/>
    </row>
    <row r="38" spans="1:4" ht="13.5" thickBot="1">
      <c r="A38" s="23" t="s">
        <v>28</v>
      </c>
      <c r="B38" s="44" t="s">
        <v>69</v>
      </c>
      <c r="C38" s="44" t="s">
        <v>70</v>
      </c>
      <c r="D38" s="46" t="s">
        <v>71</v>
      </c>
    </row>
    <row r="39" spans="1:4" ht="12.75">
      <c r="A39" s="5" t="s">
        <v>29</v>
      </c>
      <c r="B39" s="2">
        <v>267.87</v>
      </c>
      <c r="C39" s="2">
        <f>13.75/4*6</f>
        <v>20.625</v>
      </c>
      <c r="D39" s="2">
        <f>+B39+C39</f>
        <v>288.495</v>
      </c>
    </row>
    <row r="40" spans="1:4" ht="12.75">
      <c r="A40" s="5" t="s">
        <v>30</v>
      </c>
      <c r="B40" s="2">
        <v>1117.26</v>
      </c>
      <c r="C40" s="2">
        <f>4161/4*6</f>
        <v>6241.5</v>
      </c>
      <c r="D40" s="2">
        <f aca="true" t="shared" si="1" ref="D40:D67">+B40+C40</f>
        <v>7358.76</v>
      </c>
    </row>
    <row r="41" spans="1:4" ht="12.75">
      <c r="A41" s="5" t="s">
        <v>31</v>
      </c>
      <c r="B41" s="2">
        <v>2166</v>
      </c>
      <c r="C41" s="2">
        <f>3303.82/4*6</f>
        <v>4955.7300000000005</v>
      </c>
      <c r="D41" s="2">
        <f t="shared" si="1"/>
        <v>7121.7300000000005</v>
      </c>
    </row>
    <row r="42" spans="1:4" ht="12.75">
      <c r="A42" s="5" t="s">
        <v>32</v>
      </c>
      <c r="B42" s="2">
        <v>1600</v>
      </c>
      <c r="C42" s="2">
        <v>0</v>
      </c>
      <c r="D42" s="2">
        <f t="shared" si="1"/>
        <v>1600</v>
      </c>
    </row>
    <row r="43" spans="1:4" ht="12.75">
      <c r="A43" s="5" t="s">
        <v>33</v>
      </c>
      <c r="B43" s="2">
        <v>17200</v>
      </c>
      <c r="C43" s="2">
        <f>1128/4*6</f>
        <v>1692</v>
      </c>
      <c r="D43" s="2">
        <f t="shared" si="1"/>
        <v>18892</v>
      </c>
    </row>
    <row r="44" spans="1:4" ht="12.75">
      <c r="A44" s="5" t="s">
        <v>34</v>
      </c>
      <c r="B44" s="2">
        <v>8188.48</v>
      </c>
      <c r="C44" s="2">
        <f>6973.21/4*6</f>
        <v>10459.815</v>
      </c>
      <c r="D44" s="2">
        <f t="shared" si="1"/>
        <v>18648.295</v>
      </c>
    </row>
    <row r="45" spans="1:4" ht="12.75">
      <c r="A45" s="5" t="s">
        <v>35</v>
      </c>
      <c r="B45" s="2">
        <v>5340.66</v>
      </c>
      <c r="C45" s="2">
        <f>16355.29/4*6</f>
        <v>24532.935</v>
      </c>
      <c r="D45" s="2">
        <f t="shared" si="1"/>
        <v>29873.595</v>
      </c>
    </row>
    <row r="46" spans="1:4" ht="12.75">
      <c r="A46" s="5" t="s">
        <v>36</v>
      </c>
      <c r="B46" s="2">
        <v>10286.07</v>
      </c>
      <c r="C46" s="2">
        <f>16676.79/4*6</f>
        <v>25015.185</v>
      </c>
      <c r="D46" s="2">
        <f t="shared" si="1"/>
        <v>35301.255000000005</v>
      </c>
    </row>
    <row r="47" spans="1:4" ht="12.75">
      <c r="A47" s="5" t="s">
        <v>37</v>
      </c>
      <c r="B47" s="2">
        <v>36069.19</v>
      </c>
      <c r="C47" s="2">
        <f>23801.36/4*6</f>
        <v>35702.04</v>
      </c>
      <c r="D47" s="2">
        <f t="shared" si="1"/>
        <v>71771.23000000001</v>
      </c>
    </row>
    <row r="48" spans="1:4" ht="12.75">
      <c r="A48" s="5" t="s">
        <v>38</v>
      </c>
      <c r="B48" s="2">
        <v>5738.07</v>
      </c>
      <c r="C48" s="2">
        <f>5658.57/4*6</f>
        <v>8487.855</v>
      </c>
      <c r="D48" s="2">
        <f t="shared" si="1"/>
        <v>14225.925</v>
      </c>
    </row>
    <row r="49" spans="1:4" ht="0.75" customHeight="1">
      <c r="A49" s="5" t="s">
        <v>39</v>
      </c>
      <c r="B49" s="2">
        <v>0</v>
      </c>
      <c r="C49" s="2">
        <v>0</v>
      </c>
      <c r="D49" s="2">
        <f t="shared" si="1"/>
        <v>0</v>
      </c>
    </row>
    <row r="50" spans="1:4" ht="12.75">
      <c r="A50" s="5" t="s">
        <v>40</v>
      </c>
      <c r="B50" s="2">
        <v>7723.2</v>
      </c>
      <c r="C50" s="2">
        <f>4936.96/4*6</f>
        <v>7405.4400000000005</v>
      </c>
      <c r="D50" s="2">
        <f t="shared" si="1"/>
        <v>15128.64</v>
      </c>
    </row>
    <row r="51" spans="1:4" ht="12.75">
      <c r="A51" s="5" t="s">
        <v>41</v>
      </c>
      <c r="B51" s="2">
        <v>2701.78</v>
      </c>
      <c r="C51" s="2">
        <f>2200.47/4*6</f>
        <v>3300.705</v>
      </c>
      <c r="D51" s="2">
        <f t="shared" si="1"/>
        <v>6002.485000000001</v>
      </c>
    </row>
    <row r="52" spans="1:4" ht="12.75">
      <c r="A52" s="5" t="s">
        <v>42</v>
      </c>
      <c r="B52" s="2">
        <v>2902.36</v>
      </c>
      <c r="C52" s="2">
        <v>0</v>
      </c>
      <c r="D52" s="2">
        <f t="shared" si="1"/>
        <v>2902.36</v>
      </c>
    </row>
    <row r="53" spans="1:4" ht="12.75">
      <c r="A53" s="5" t="s">
        <v>43</v>
      </c>
      <c r="B53" s="2">
        <v>0</v>
      </c>
      <c r="C53" s="2">
        <f>5151.48/4*6</f>
        <v>7727.219999999999</v>
      </c>
      <c r="D53" s="2">
        <f t="shared" si="1"/>
        <v>7727.219999999999</v>
      </c>
    </row>
    <row r="54" spans="1:4" ht="12.75">
      <c r="A54" s="5" t="s">
        <v>44</v>
      </c>
      <c r="B54" s="2">
        <v>4300.05</v>
      </c>
      <c r="C54" s="2">
        <f>250*6</f>
        <v>1500</v>
      </c>
      <c r="D54" s="2">
        <f t="shared" si="1"/>
        <v>5800.05</v>
      </c>
    </row>
    <row r="55" spans="1:4" ht="12.75">
      <c r="A55" s="5" t="s">
        <v>45</v>
      </c>
      <c r="B55" s="2">
        <v>6969.99</v>
      </c>
      <c r="C55" s="2">
        <f>19268.94/4*6</f>
        <v>28903.409999999996</v>
      </c>
      <c r="D55" s="2">
        <f t="shared" si="1"/>
        <v>35873.399999999994</v>
      </c>
    </row>
    <row r="56" spans="1:4" ht="12.75">
      <c r="A56" s="5" t="s">
        <v>46</v>
      </c>
      <c r="B56" s="2">
        <v>5890.03</v>
      </c>
      <c r="C56" s="2">
        <f>6205.89/4*6</f>
        <v>9308.835000000001</v>
      </c>
      <c r="D56" s="2">
        <f t="shared" si="1"/>
        <v>15198.865000000002</v>
      </c>
    </row>
    <row r="57" spans="1:4" ht="12.75">
      <c r="A57" s="5" t="s">
        <v>47</v>
      </c>
      <c r="B57" s="2">
        <v>11290.55</v>
      </c>
      <c r="C57" s="2">
        <f>12754.05/4*6</f>
        <v>19131.074999999997</v>
      </c>
      <c r="D57" s="2">
        <f t="shared" si="1"/>
        <v>30421.624999999996</v>
      </c>
    </row>
    <row r="58" spans="1:4" ht="12.75">
      <c r="A58" s="5" t="s">
        <v>48</v>
      </c>
      <c r="B58" s="2">
        <v>18295.88</v>
      </c>
      <c r="C58" s="2">
        <f>9413.09/4*6</f>
        <v>14119.635</v>
      </c>
      <c r="D58" s="2">
        <f t="shared" si="1"/>
        <v>32415.515</v>
      </c>
    </row>
    <row r="59" spans="1:4" ht="12.75">
      <c r="A59" s="5" t="s">
        <v>49</v>
      </c>
      <c r="B59" s="2">
        <v>7271</v>
      </c>
      <c r="C59" s="2">
        <f>4119.5/4*6</f>
        <v>6179.25</v>
      </c>
      <c r="D59" s="2">
        <f t="shared" si="1"/>
        <v>13450.25</v>
      </c>
    </row>
    <row r="60" spans="1:4" ht="12.75">
      <c r="A60" s="5" t="s">
        <v>50</v>
      </c>
      <c r="B60" s="2">
        <v>8740</v>
      </c>
      <c r="C60" s="2">
        <f>8741.98/4*6</f>
        <v>13112.97</v>
      </c>
      <c r="D60" s="2">
        <f t="shared" si="1"/>
        <v>21852.97</v>
      </c>
    </row>
    <row r="61" spans="1:4" ht="12.75">
      <c r="A61" s="5" t="s">
        <v>51</v>
      </c>
      <c r="B61" s="2">
        <v>12000</v>
      </c>
      <c r="C61" s="2">
        <v>0</v>
      </c>
      <c r="D61" s="2">
        <f t="shared" si="1"/>
        <v>12000</v>
      </c>
    </row>
    <row r="62" spans="1:4" ht="12.75">
      <c r="A62" s="5" t="s">
        <v>52</v>
      </c>
      <c r="B62" s="2">
        <v>16256</v>
      </c>
      <c r="C62" s="2">
        <f>2032/4*6</f>
        <v>3048</v>
      </c>
      <c r="D62" s="2">
        <f t="shared" si="1"/>
        <v>19304</v>
      </c>
    </row>
    <row r="63" spans="1:4" ht="12.75">
      <c r="A63" s="5" t="s">
        <v>53</v>
      </c>
      <c r="B63" s="2">
        <v>23081.78</v>
      </c>
      <c r="C63" s="2">
        <v>0</v>
      </c>
      <c r="D63" s="2">
        <f t="shared" si="1"/>
        <v>23081.78</v>
      </c>
    </row>
    <row r="64" spans="1:4" ht="12.75">
      <c r="A64" s="5" t="s">
        <v>54</v>
      </c>
      <c r="B64" s="2">
        <v>35336.5</v>
      </c>
      <c r="C64" s="2">
        <f>2430.47/4*6</f>
        <v>3645.705</v>
      </c>
      <c r="D64" s="2">
        <f t="shared" si="1"/>
        <v>38982.205</v>
      </c>
    </row>
    <row r="65" spans="1:4" ht="12.75">
      <c r="A65" s="5" t="s">
        <v>80</v>
      </c>
      <c r="B65" s="2">
        <v>17600</v>
      </c>
      <c r="C65" s="2">
        <f>33254.17/4*6</f>
        <v>49881.255</v>
      </c>
      <c r="D65" s="2">
        <f t="shared" si="1"/>
        <v>67481.255</v>
      </c>
    </row>
    <row r="66" spans="1:4" ht="12.75">
      <c r="A66" s="5" t="s">
        <v>81</v>
      </c>
      <c r="B66" s="2">
        <v>12313.47</v>
      </c>
      <c r="C66" s="2">
        <f>13928.53/4*6</f>
        <v>20892.795000000002</v>
      </c>
      <c r="D66" s="2">
        <f t="shared" si="1"/>
        <v>33206.265</v>
      </c>
    </row>
    <row r="67" spans="1:4" ht="12.75">
      <c r="A67" s="5" t="s">
        <v>55</v>
      </c>
      <c r="B67" s="2">
        <v>16067.44</v>
      </c>
      <c r="C67" s="2"/>
      <c r="D67" s="2">
        <f t="shared" si="1"/>
        <v>16067.44</v>
      </c>
    </row>
    <row r="68" spans="1:5" s="27" customFormat="1" ht="21" customHeight="1" thickBot="1">
      <c r="A68" s="6"/>
      <c r="B68" s="47" t="s">
        <v>56</v>
      </c>
      <c r="C68" s="24"/>
      <c r="D68" s="25">
        <f>SUM(D39:D67)</f>
        <v>601977.61</v>
      </c>
      <c r="E68" s="26"/>
    </row>
    <row r="69" spans="1:6" s="27" customFormat="1" ht="21.75" customHeight="1" thickBot="1">
      <c r="A69" s="6"/>
      <c r="B69" s="47" t="s">
        <v>57</v>
      </c>
      <c r="C69" s="28"/>
      <c r="D69" s="29">
        <f>+D68+D36</f>
        <v>9492205.01</v>
      </c>
      <c r="F69" s="30"/>
    </row>
    <row r="70" spans="1:5" ht="19.5" thickBot="1">
      <c r="A70" s="31"/>
      <c r="B70" s="48" t="s">
        <v>58</v>
      </c>
      <c r="C70" s="32"/>
      <c r="D70" s="29">
        <f>+D69/12</f>
        <v>791017.0841666666</v>
      </c>
      <c r="E70" s="18"/>
    </row>
    <row r="71" spans="1:5" ht="19.5" thickBot="1">
      <c r="A71" s="31"/>
      <c r="B71" s="32"/>
      <c r="C71" s="32"/>
      <c r="D71" s="33"/>
      <c r="E71" s="18"/>
    </row>
    <row r="72" spans="1:5" ht="18.75">
      <c r="A72" s="34" t="s">
        <v>59</v>
      </c>
      <c r="B72" s="35"/>
      <c r="C72" s="32"/>
      <c r="D72" s="33"/>
      <c r="E72" s="18"/>
    </row>
    <row r="73" spans="1:5" ht="18.75">
      <c r="A73" s="36"/>
      <c r="B73" s="37"/>
      <c r="C73" s="32"/>
      <c r="D73" s="33"/>
      <c r="E73" s="18"/>
    </row>
    <row r="74" spans="1:5" ht="18.75">
      <c r="A74" s="36" t="s">
        <v>60</v>
      </c>
      <c r="B74" s="37">
        <f>+D70/D5</f>
        <v>1023.3080002156102</v>
      </c>
      <c r="C74" s="32"/>
      <c r="D74" s="33"/>
      <c r="E74" s="18"/>
    </row>
    <row r="75" spans="1:5" ht="18.75">
      <c r="A75" s="36" t="s">
        <v>61</v>
      </c>
      <c r="B75" s="37">
        <f>+D12/D5</f>
        <v>837.0267847132385</v>
      </c>
      <c r="C75" s="32"/>
      <c r="D75" s="33"/>
      <c r="E75" s="18"/>
    </row>
    <row r="76" spans="1:4" ht="24.75" customHeight="1" thickBot="1">
      <c r="A76" s="38" t="s">
        <v>76</v>
      </c>
      <c r="B76" s="39">
        <f>+B75-B74</f>
        <v>-186.28121550237165</v>
      </c>
      <c r="C76" s="31"/>
      <c r="D76" s="32"/>
    </row>
    <row r="77" spans="1:4" ht="15">
      <c r="A77" s="40"/>
      <c r="B77" s="31"/>
      <c r="C77" s="31"/>
      <c r="D77" s="32"/>
    </row>
    <row r="78" spans="1:4" ht="15">
      <c r="A78" s="40"/>
      <c r="B78" s="31"/>
      <c r="C78" s="31"/>
      <c r="D78" s="32"/>
    </row>
    <row r="79" spans="1:4" ht="12.75">
      <c r="A79" s="41"/>
      <c r="B79" s="7"/>
      <c r="C79" s="7"/>
      <c r="D79" s="7"/>
    </row>
    <row r="80" spans="1:4" ht="24.75" customHeight="1">
      <c r="A80" s="9" t="s">
        <v>77</v>
      </c>
      <c r="B80" s="8" t="s">
        <v>79</v>
      </c>
      <c r="C80" s="8"/>
      <c r="D80" s="42"/>
    </row>
    <row r="81" spans="1:4" ht="24.75" customHeight="1">
      <c r="A81" s="9" t="s">
        <v>73</v>
      </c>
      <c r="B81" s="8" t="s">
        <v>62</v>
      </c>
      <c r="C81" s="8"/>
      <c r="D81" s="42"/>
    </row>
    <row r="82" spans="1:4" ht="24.75" customHeight="1">
      <c r="A82" s="9" t="s">
        <v>74</v>
      </c>
      <c r="B82" s="8" t="s">
        <v>75</v>
      </c>
      <c r="C82" s="8"/>
      <c r="D82" s="42"/>
    </row>
    <row r="83" spans="1:4" ht="12.75">
      <c r="A83" s="43"/>
      <c r="B83" s="43"/>
      <c r="C83" s="43"/>
      <c r="D83" s="43"/>
    </row>
    <row r="84" spans="1:4" ht="12.75">
      <c r="A84" s="43"/>
      <c r="B84" s="43"/>
      <c r="C84" s="43"/>
      <c r="D84" s="43"/>
    </row>
    <row r="85" spans="1:4" ht="12.75">
      <c r="A85" s="43"/>
      <c r="B85" s="43"/>
      <c r="C85" s="43"/>
      <c r="D85" s="43"/>
    </row>
    <row r="86" spans="1:4" ht="12.75">
      <c r="A86" s="43"/>
      <c r="B86" s="43"/>
      <c r="C86" s="43"/>
      <c r="D86" s="43"/>
    </row>
  </sheetData>
  <sheetProtection/>
  <mergeCells count="9">
    <mergeCell ref="A1:D1"/>
    <mergeCell ref="A2:D2"/>
    <mergeCell ref="A3:D3"/>
    <mergeCell ref="A4:D4"/>
    <mergeCell ref="A37:D37"/>
    <mergeCell ref="B5:C5"/>
    <mergeCell ref="B6:D6"/>
    <mergeCell ref="B11:C12"/>
    <mergeCell ref="B36:C3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HP TouchSmart</cp:lastModifiedBy>
  <cp:lastPrinted>2015-06-08T14:23:10Z</cp:lastPrinted>
  <dcterms:created xsi:type="dcterms:W3CDTF">2014-10-24T21:41:56Z</dcterms:created>
  <dcterms:modified xsi:type="dcterms:W3CDTF">2015-06-15T13:01:17Z</dcterms:modified>
  <cp:category/>
  <cp:version/>
  <cp:contentType/>
  <cp:contentStatus/>
</cp:coreProperties>
</file>